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<sst xmlns="http://schemas.openxmlformats.org/spreadsheetml/2006/main" count="891" uniqueCount="178">
  <si>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</si>
  <si>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</si>
  <si>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</si>
  <si>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</si>
  <si>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</si>
  <si>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</si>
  <si>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</si>
  <si>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</si>
  <si>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</si>
  <si>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</si>
  <si>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</si>
  <si>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</si>
  <si>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</si>
  <si>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</si>
  <si>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</si>
  <si>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</si>
  <si>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</si>
  <si>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</si>
  <si>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</si>
  <si>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</si>
  <si>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</si>
  <si>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</si>
  <si>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</si>
  <si>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</si>
  <si>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</si>
  <si>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</si>
  <si>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</si>
  <si>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</si>
  <si>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</si>
  <si>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</si>
  <si>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</si>
  <si>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</si>
  <si>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</si>
  <si>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</si>
  <si>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</si>
  <si>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</si>
  <si>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</si>
  <si>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</si>
  <si>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</si>
  <si>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</si>
  <si>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</si>
  <si>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</si>
  <si>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</si>
  <si>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</si>
  <si>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</si>
  <si>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</si>
  <si>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</si>
  <si>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</si>
  <si>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</si>
  <si>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</si>
  <si>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</si>
  <si>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</si>
  <si>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</si>
  <si>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</si>
  <si>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</si>
  <si>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</si>
  <si>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</si>
  <si>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</si>
  <si>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</si>
  <si>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</si>
  <si>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</si>
  <si>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</si>
  <si>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</si>
  <si>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</si>
  <si>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</si>
  <si>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</si>
  <si>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</si>
  <si>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</si>
  <si>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</si>
  <si>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</si>
  <si>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</si>
  <si>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</si>
  <si>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</si>
  <si>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</si>
  <si>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</si>
  <si>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</si>
  <si>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</si>
  <si>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</si>
  <si>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</si>
  <si>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</si>
  <si>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</si>
  <si>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</si>
  <si>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</si>
  <si>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</si>
  <si>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</si>
  <si>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</si>
  <si>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</si>
  <si>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</si>
  <si>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</si>
  <si>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</si>
  <si>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</si>
  <si>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</si>
  <si>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</si>
  <si>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</si>
  <si>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</si>
  <si>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</si>
  <si>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</si>
  <si>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</si>
  <si>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</si>
  <si>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</si>
  <si>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</si>
  <si>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</si>
  <si>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</si>
  <si>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</si>
  <si>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</si>
  <si>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</si>
  <si>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</si>
  <si>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</si>
  <si>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</si>
  <si>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</si>
  <si>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</si>
  <si>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</si>
  <si>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</si>
  <si>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</si>
  <si>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</si>
  <si>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</si>
  <si>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</si>
  <si>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</si>
  <si>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</si>
  <si>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</si>
  <si>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</si>
  <si>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</si>
  <si>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</si>
  <si>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</si>
  <si>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</si>
  <si>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</si>
  <si>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</si>
  <si>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</si>
  <si>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</si>
  <si>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</si>
  <si>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</si>
  <si>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</si>
  <si>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</si>
  <si>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</si>
  <si>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</si>
  <si>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</si>
  <si>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</si>
  <si>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</si>
  <si>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</si>
  <si>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</si>
  <si>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</si>
  <si>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</si>
  <si>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</si>
  <si>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</si>
  <si>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</si>
  <si>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</si>
  <si>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</si>
  <si>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</si>
  <si>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</si>
  <si>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</si>
  <si>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</si>
  <si>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</si>
  <si>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</si>
  <si>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</si>
  <si>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</si>
  <si>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</si>
  <si>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</si>
  <si>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</si>
  <si>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</si>
  <si>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</si>
  <si>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</si>
  <si>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</si>
  <si>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</si>
  <si>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</si>
  <si>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</si>
  <si>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</si>
  <si>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</si>
  <si>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</si>
  <si>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</si>
  <si>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</si>
  <si>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</si>
  <si>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</si>
  <si>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</si>
  <si>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</si>
  <si>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</si>
  <si>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</si>
  <si>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15.06.2016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</si>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</sst>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396545.52999999997</v>
      </c>
      <c r="G8" s="191">
        <f aca="true" t="shared" si="0" ref="G8:G36">F8-E8</f>
        <v>-23690.25</v>
      </c>
      <c r="H8" s="192">
        <f>F8/E8*100</f>
        <v>94.36262899841607</v>
      </c>
      <c r="I8" s="193">
        <f>F8-D8</f>
        <v>-444504.47000000003</v>
      </c>
      <c r="J8" s="193">
        <f>F8/D8*100</f>
        <v>47.148865109089826</v>
      </c>
      <c r="K8" s="191">
        <f>F8-305119.12</f>
        <v>91426.40999999997</v>
      </c>
      <c r="L8" s="191">
        <f>F8/305119.12*100</f>
        <v>129.96416940373976</v>
      </c>
      <c r="M8" s="191">
        <f>M9+M15+M18+M19+M20+M17</f>
        <v>67799.29999999999</v>
      </c>
      <c r="N8" s="191">
        <f>N9+N15+N18+N19+N20+N17</f>
        <v>21550.580000000024</v>
      </c>
      <c r="O8" s="191">
        <f>N8-M8</f>
        <v>-46248.719999999965</v>
      </c>
      <c r="P8" s="191">
        <f>N8/M8*100</f>
        <v>31.785844396623602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216517.43</v>
      </c>
      <c r="G9" s="190">
        <f t="shared" si="0"/>
        <v>-7386.8399999999965</v>
      </c>
      <c r="H9" s="197">
        <f>F9/E9*100</f>
        <v>96.70089364530654</v>
      </c>
      <c r="I9" s="198">
        <f>F9-D9</f>
        <v>-243182.57</v>
      </c>
      <c r="J9" s="198">
        <f>F9/D9*100</f>
        <v>47.09972373286926</v>
      </c>
      <c r="K9" s="199">
        <f>F9-171379.72</f>
        <v>45137.70999999999</v>
      </c>
      <c r="L9" s="199">
        <f>F9/171379.72*100</f>
        <v>126.33783623873349</v>
      </c>
      <c r="M9" s="197">
        <f>E9-травень!E9</f>
        <v>41002</v>
      </c>
      <c r="N9" s="200">
        <f>F9-травень!F9</f>
        <v>17416.50999999998</v>
      </c>
      <c r="O9" s="201">
        <f>N9-M9</f>
        <v>-23585.49000000002</v>
      </c>
      <c r="P9" s="198">
        <f>N9/M9*100</f>
        <v>42.47722062338418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190204.44</v>
      </c>
      <c r="G10" s="109">
        <f t="shared" si="0"/>
        <v>-9091.399999999994</v>
      </c>
      <c r="H10" s="32">
        <f aca="true" t="shared" si="1" ref="H10:H35">F10/E10*100</f>
        <v>95.43823895170115</v>
      </c>
      <c r="I10" s="110">
        <f aca="true" t="shared" si="2" ref="I10:I36">F10-D10</f>
        <v>-221235.56</v>
      </c>
      <c r="J10" s="110">
        <f aca="true" t="shared" si="3" ref="J10:J35">F10/D10*100</f>
        <v>46.22896169550846</v>
      </c>
      <c r="K10" s="112">
        <f>F10-152226.9</f>
        <v>37977.54000000001</v>
      </c>
      <c r="L10" s="112">
        <f>F10/152226.9*100</f>
        <v>124.94798225543579</v>
      </c>
      <c r="M10" s="111">
        <f>E10-травень!E10</f>
        <v>37450</v>
      </c>
      <c r="N10" s="179">
        <f>F10-травень!F10</f>
        <v>16036.110000000015</v>
      </c>
      <c r="O10" s="112">
        <f aca="true" t="shared" si="4" ref="O10:O36">N10-M10</f>
        <v>-21413.889999999985</v>
      </c>
      <c r="P10" s="198">
        <f aca="true" t="shared" si="5" ref="P10:P16">N10/M10*100</f>
        <v>42.82005340453943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15348.54</v>
      </c>
      <c r="G11" s="109">
        <f t="shared" si="0"/>
        <v>1183.6000000000004</v>
      </c>
      <c r="H11" s="32">
        <f t="shared" si="1"/>
        <v>108.35584195909054</v>
      </c>
      <c r="I11" s="110">
        <f t="shared" si="2"/>
        <v>-7651.459999999999</v>
      </c>
      <c r="J11" s="110">
        <f t="shared" si="3"/>
        <v>66.73278260869566</v>
      </c>
      <c r="K11" s="112">
        <f>F11-9213.1</f>
        <v>6135.4400000000005</v>
      </c>
      <c r="L11" s="112">
        <f>F11/9213.1*100</f>
        <v>166.59474009833824</v>
      </c>
      <c r="M11" s="111">
        <f>E11-травень!E11</f>
        <v>1600</v>
      </c>
      <c r="N11" s="179">
        <f>F11-травень!F11</f>
        <v>669.2900000000009</v>
      </c>
      <c r="O11" s="112">
        <f t="shared" si="4"/>
        <v>-930.7099999999991</v>
      </c>
      <c r="P11" s="198">
        <f t="shared" si="5"/>
        <v>41.830625000000055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4854</v>
      </c>
      <c r="G12" s="109">
        <f t="shared" si="0"/>
        <v>2133.39</v>
      </c>
      <c r="H12" s="32">
        <f t="shared" si="1"/>
        <v>178.41586997033752</v>
      </c>
      <c r="I12" s="110">
        <f t="shared" si="2"/>
        <v>-1646</v>
      </c>
      <c r="J12" s="110">
        <f t="shared" si="3"/>
        <v>74.67692307692307</v>
      </c>
      <c r="K12" s="112">
        <f>F12-2592.53</f>
        <v>2261.47</v>
      </c>
      <c r="L12" s="112">
        <f>F12/2592.53*100</f>
        <v>187.23023455852004</v>
      </c>
      <c r="M12" s="111">
        <f>E12-травень!E12</f>
        <v>500</v>
      </c>
      <c r="N12" s="179">
        <f>F12-травень!F12</f>
        <v>270.77000000000044</v>
      </c>
      <c r="O12" s="112">
        <f t="shared" si="4"/>
        <v>-229.22999999999956</v>
      </c>
      <c r="P12" s="198">
        <f t="shared" si="5"/>
        <v>54.15400000000009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3955.51</v>
      </c>
      <c r="G13" s="109">
        <f t="shared" si="0"/>
        <v>-629.3299999999999</v>
      </c>
      <c r="H13" s="32">
        <f t="shared" si="1"/>
        <v>86.27367585346491</v>
      </c>
      <c r="I13" s="110">
        <f t="shared" si="2"/>
        <v>-8444.49</v>
      </c>
      <c r="J13" s="110">
        <f t="shared" si="3"/>
        <v>31.899274193548386</v>
      </c>
      <c r="K13" s="112">
        <f>F13-2783.41</f>
        <v>1172.1000000000004</v>
      </c>
      <c r="L13" s="112">
        <f>F13/2783.41*100</f>
        <v>142.1102173233552</v>
      </c>
      <c r="M13" s="111">
        <f>E13-травень!E13</f>
        <v>820</v>
      </c>
      <c r="N13" s="179">
        <f>F13-травень!F13</f>
        <v>192.07000000000016</v>
      </c>
      <c r="O13" s="112">
        <f t="shared" si="4"/>
        <v>-627.9299999999998</v>
      </c>
      <c r="P13" s="198">
        <f t="shared" si="5"/>
        <v>23.423170731707337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2154.95</v>
      </c>
      <c r="G14" s="109">
        <f t="shared" si="0"/>
        <v>-983.0900000000001</v>
      </c>
      <c r="H14" s="32">
        <f t="shared" si="1"/>
        <v>68.67184612050833</v>
      </c>
      <c r="I14" s="110">
        <f t="shared" si="2"/>
        <v>-4205.05</v>
      </c>
      <c r="J14" s="110">
        <f t="shared" si="3"/>
        <v>33.882861635220124</v>
      </c>
      <c r="K14" s="112">
        <f>F14-4563.77</f>
        <v>-2408.8200000000006</v>
      </c>
      <c r="L14" s="112">
        <f>F14/4563.77*100</f>
        <v>47.21863722317294</v>
      </c>
      <c r="M14" s="111">
        <f>E14-травень!E14</f>
        <v>632</v>
      </c>
      <c r="N14" s="179">
        <f>F14-травень!F14</f>
        <v>248.26999999999975</v>
      </c>
      <c r="O14" s="112">
        <f t="shared" si="4"/>
        <v>-383.73000000000025</v>
      </c>
      <c r="P14" s="198">
        <f t="shared" si="5"/>
        <v>39.28322784810123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35514.77</v>
      </c>
      <c r="G19" s="190">
        <f t="shared" si="0"/>
        <v>-12345.630000000005</v>
      </c>
      <c r="H19" s="197">
        <f t="shared" si="1"/>
        <v>74.20491679969243</v>
      </c>
      <c r="I19" s="198">
        <f t="shared" si="2"/>
        <v>-74385.23000000001</v>
      </c>
      <c r="J19" s="198">
        <f t="shared" si="3"/>
        <v>32.315532302092805</v>
      </c>
      <c r="K19" s="209">
        <f>F19-30116.49</f>
        <v>5398.279999999995</v>
      </c>
      <c r="L19" s="209">
        <f>F19/30116.49*100</f>
        <v>117.92466519172717</v>
      </c>
      <c r="M19" s="197">
        <f>E19-травень!E19</f>
        <v>9800</v>
      </c>
      <c r="N19" s="200">
        <f>F19-травень!F19</f>
        <v>284.2099999999991</v>
      </c>
      <c r="O19" s="201">
        <f t="shared" si="4"/>
        <v>-9515.79</v>
      </c>
      <c r="P19" s="198">
        <f aca="true" t="shared" si="6" ref="P19:P24">N19/M19*100</f>
        <v>2.9001020408163174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144098.12000000002</v>
      </c>
      <c r="G20" s="190">
        <f t="shared" si="0"/>
        <v>-4122.989999999962</v>
      </c>
      <c r="H20" s="197">
        <f t="shared" si="1"/>
        <v>97.21835169092988</v>
      </c>
      <c r="I20" s="198">
        <f t="shared" si="2"/>
        <v>-126841.87999999998</v>
      </c>
      <c r="J20" s="198">
        <f t="shared" si="3"/>
        <v>53.184513176349014</v>
      </c>
      <c r="K20" s="198">
        <f>F20-100444.36</f>
        <v>43653.760000000024</v>
      </c>
      <c r="L20" s="198">
        <f>F20/100444.36*100</f>
        <v>143.4606383076163</v>
      </c>
      <c r="M20" s="197">
        <f>M21+M29+M30+M31</f>
        <v>16992.299999999985</v>
      </c>
      <c r="N20" s="200">
        <f>F20-травень!F20</f>
        <v>3849.8600000000442</v>
      </c>
      <c r="O20" s="201">
        <f t="shared" si="4"/>
        <v>-13142.43999999994</v>
      </c>
      <c r="P20" s="198">
        <f t="shared" si="6"/>
        <v>22.65649735468446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73615.83</v>
      </c>
      <c r="G21" s="190">
        <f t="shared" si="0"/>
        <v>-4527.529999999999</v>
      </c>
      <c r="H21" s="197">
        <f t="shared" si="1"/>
        <v>94.20612320739727</v>
      </c>
      <c r="I21" s="198">
        <f t="shared" si="2"/>
        <v>-87784.17</v>
      </c>
      <c r="J21" s="198">
        <f t="shared" si="3"/>
        <v>45.61079925650558</v>
      </c>
      <c r="K21" s="198">
        <f>F21-54757.32</f>
        <v>18858.510000000002</v>
      </c>
      <c r="L21" s="198">
        <f>F21/54757.32*100</f>
        <v>134.44016252073695</v>
      </c>
      <c r="M21" s="197">
        <f>M22+M25+M26</f>
        <v>13047.099999999999</v>
      </c>
      <c r="N21" s="200">
        <f>F21-травень!F21</f>
        <v>2075.6900000000023</v>
      </c>
      <c r="O21" s="201">
        <f t="shared" si="4"/>
        <v>-10971.409999999996</v>
      </c>
      <c r="P21" s="198">
        <f t="shared" si="6"/>
        <v>15.909205877168125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8734.21</v>
      </c>
      <c r="G22" s="212">
        <f t="shared" si="0"/>
        <v>122.60999999999876</v>
      </c>
      <c r="H22" s="214">
        <f t="shared" si="1"/>
        <v>101.42377723071205</v>
      </c>
      <c r="I22" s="215">
        <f t="shared" si="2"/>
        <v>-9765.79</v>
      </c>
      <c r="J22" s="215">
        <f t="shared" si="3"/>
        <v>47.21194594594594</v>
      </c>
      <c r="K22" s="216">
        <f>F22-4957.1</f>
        <v>3777.1099999999988</v>
      </c>
      <c r="L22" s="216">
        <f>F22/4957.1*100</f>
        <v>176.19596134836897</v>
      </c>
      <c r="M22" s="214">
        <f>E22-травень!E22</f>
        <v>240</v>
      </c>
      <c r="N22" s="217">
        <f>F22-травень!F22</f>
        <v>94.05999999999949</v>
      </c>
      <c r="O22" s="218">
        <f t="shared" si="4"/>
        <v>-145.9400000000005</v>
      </c>
      <c r="P22" s="215">
        <f t="shared" si="6"/>
        <v>39.19166666666645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267.35</v>
      </c>
      <c r="G23" s="241">
        <f t="shared" si="0"/>
        <v>-121.75</v>
      </c>
      <c r="H23" s="242">
        <f t="shared" si="1"/>
        <v>68.70984322796197</v>
      </c>
      <c r="I23" s="243">
        <f t="shared" si="2"/>
        <v>-1732.65</v>
      </c>
      <c r="J23" s="243">
        <f t="shared" si="3"/>
        <v>13.367500000000001</v>
      </c>
      <c r="K23" s="244">
        <f>F23-284.18</f>
        <v>-16.829999999999984</v>
      </c>
      <c r="L23" s="244">
        <f>F23/284.18*100</f>
        <v>94.07769723414738</v>
      </c>
      <c r="M23" s="239">
        <f>E23-травень!E23</f>
        <v>40</v>
      </c>
      <c r="N23" s="239">
        <f>F23-травень!F23</f>
        <v>3.7000000000000455</v>
      </c>
      <c r="O23" s="240">
        <f t="shared" si="4"/>
        <v>-36.299999999999955</v>
      </c>
      <c r="P23" s="240">
        <f t="shared" si="6"/>
        <v>9.250000000000114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8466.86</v>
      </c>
      <c r="G24" s="241">
        <f t="shared" si="0"/>
        <v>244.36000000000058</v>
      </c>
      <c r="H24" s="242">
        <f t="shared" si="1"/>
        <v>102.9718455457586</v>
      </c>
      <c r="I24" s="243">
        <f t="shared" si="2"/>
        <v>-8033.139999999999</v>
      </c>
      <c r="J24" s="243">
        <f t="shared" si="3"/>
        <v>51.31430303030303</v>
      </c>
      <c r="K24" s="244">
        <f>F24-4672.92</f>
        <v>3793.9400000000005</v>
      </c>
      <c r="L24" s="244">
        <f>F24/4672.92*100</f>
        <v>181.18991979319142</v>
      </c>
      <c r="M24" s="239">
        <f>E24-травень!E24</f>
        <v>200</v>
      </c>
      <c r="N24" s="239">
        <f>F24-травень!F24</f>
        <v>90.36000000000058</v>
      </c>
      <c r="O24" s="240">
        <f t="shared" si="4"/>
        <v>-109.63999999999942</v>
      </c>
      <c r="P24" s="240">
        <f t="shared" si="6"/>
        <v>45.18000000000029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426.33</v>
      </c>
      <c r="G25" s="212">
        <f t="shared" si="0"/>
        <v>149.49</v>
      </c>
      <c r="H25" s="214">
        <f t="shared" si="1"/>
        <v>153.99869960988298</v>
      </c>
      <c r="I25" s="215">
        <f t="shared" si="2"/>
        <v>-2373.67</v>
      </c>
      <c r="J25" s="215">
        <f t="shared" si="3"/>
        <v>15.226071428571428</v>
      </c>
      <c r="K25" s="215">
        <f>F25-210.68</f>
        <v>215.64999999999998</v>
      </c>
      <c r="L25" s="215">
        <f>F25/210.68*100</f>
        <v>202.35902790962595</v>
      </c>
      <c r="M25" s="214">
        <f>E25-травень!E25</f>
        <v>0</v>
      </c>
      <c r="N25" s="217">
        <f>F25-травень!F25</f>
        <v>6.25</v>
      </c>
      <c r="O25" s="218">
        <f t="shared" si="4"/>
        <v>6.25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64455.29</v>
      </c>
      <c r="G26" s="212">
        <f t="shared" si="0"/>
        <v>-4799.629999999997</v>
      </c>
      <c r="H26" s="214">
        <f t="shared" si="1"/>
        <v>93.0696187361129</v>
      </c>
      <c r="I26" s="215">
        <f t="shared" si="2"/>
        <v>-75644.70999999999</v>
      </c>
      <c r="J26" s="215">
        <f t="shared" si="3"/>
        <v>46.006630977872945</v>
      </c>
      <c r="K26" s="216">
        <f>F26-49589.53</f>
        <v>14865.760000000002</v>
      </c>
      <c r="L26" s="216">
        <f>F26/49589.53*100</f>
        <v>129.97761825933821</v>
      </c>
      <c r="M26" s="214">
        <f>E26-травень!E26</f>
        <v>12807.099999999999</v>
      </c>
      <c r="N26" s="217">
        <f>F26-травень!F26</f>
        <v>1975.3799999999974</v>
      </c>
      <c r="O26" s="218">
        <f t="shared" si="4"/>
        <v>-10831.720000000001</v>
      </c>
      <c r="P26" s="215">
        <f>N26/M26*100</f>
        <v>15.424100694146198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19752.87</v>
      </c>
      <c r="G27" s="241">
        <f t="shared" si="0"/>
        <v>323.119999999999</v>
      </c>
      <c r="H27" s="242">
        <f t="shared" si="1"/>
        <v>101.66301676552709</v>
      </c>
      <c r="I27" s="243">
        <f t="shared" si="2"/>
        <v>-18304.13</v>
      </c>
      <c r="J27" s="243">
        <f t="shared" si="3"/>
        <v>51.90338176945109</v>
      </c>
      <c r="K27" s="244">
        <f>F27-12926</f>
        <v>6826.869999999999</v>
      </c>
      <c r="L27" s="244">
        <f>F27/12926*100</f>
        <v>152.81502398267057</v>
      </c>
      <c r="M27" s="239">
        <f>E27-12724.05</f>
        <v>6705.700000000001</v>
      </c>
      <c r="N27" s="239">
        <f>F27-15205.9</f>
        <v>4546.969999999999</v>
      </c>
      <c r="O27" s="240">
        <f t="shared" si="4"/>
        <v>-2158.7300000000014</v>
      </c>
      <c r="P27" s="240">
        <f>N27/M27*100</f>
        <v>67.80753687161666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44702.42</v>
      </c>
      <c r="G28" s="241">
        <f t="shared" si="0"/>
        <v>-5122.75</v>
      </c>
      <c r="H28" s="242">
        <f t="shared" si="1"/>
        <v>89.71854988151571</v>
      </c>
      <c r="I28" s="243">
        <f t="shared" si="2"/>
        <v>34659.42</v>
      </c>
      <c r="J28" s="243">
        <f t="shared" si="3"/>
        <v>445.11022602807924</v>
      </c>
      <c r="K28" s="244">
        <f>F28-36663.53</f>
        <v>8038.889999999999</v>
      </c>
      <c r="L28" s="244">
        <f>F28/36663.53*100</f>
        <v>121.92612113454433</v>
      </c>
      <c r="M28" s="239">
        <f>E28-32053.77</f>
        <v>17771.399999999998</v>
      </c>
      <c r="N28" s="239">
        <f>F28-34030.56</f>
        <v>10671.86</v>
      </c>
      <c r="O28" s="240">
        <f t="shared" si="4"/>
        <v>-7099.539999999997</v>
      </c>
      <c r="P28" s="240">
        <f>N28/M28*100</f>
        <v>60.05075570861047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51.15</v>
      </c>
      <c r="G29" s="190">
        <f t="shared" si="0"/>
        <v>15.439999999999998</v>
      </c>
      <c r="H29" s="197">
        <f t="shared" si="1"/>
        <v>143.2371884626155</v>
      </c>
      <c r="I29" s="198">
        <f t="shared" si="2"/>
        <v>-25.85</v>
      </c>
      <c r="J29" s="198">
        <f t="shared" si="3"/>
        <v>66.42857142857143</v>
      </c>
      <c r="K29" s="198">
        <f>F29-37.42</f>
        <v>13.729999999999997</v>
      </c>
      <c r="L29" s="198">
        <f>F29/37.42*100</f>
        <v>136.6916087653661</v>
      </c>
      <c r="M29" s="197">
        <f>E29-травень!E29</f>
        <v>5.199999999999999</v>
      </c>
      <c r="N29" s="200">
        <f>F29-травень!F29</f>
        <v>0.00999999999999801</v>
      </c>
      <c r="O29" s="201">
        <f t="shared" si="4"/>
        <v>-5.190000000000001</v>
      </c>
      <c r="P29" s="198">
        <f>N29/M29*100</f>
        <v>0.19230769230765407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-122.58</v>
      </c>
      <c r="G30" s="190">
        <f t="shared" si="0"/>
        <v>-122.58</v>
      </c>
      <c r="H30" s="197"/>
      <c r="I30" s="198">
        <f t="shared" si="2"/>
        <v>-122.58</v>
      </c>
      <c r="J30" s="198"/>
      <c r="K30" s="198">
        <f>F30-(-403.36)</f>
        <v>280.78000000000003</v>
      </c>
      <c r="L30" s="198">
        <f>F30/(-403.36)*100</f>
        <v>30.38972629908766</v>
      </c>
      <c r="M30" s="197">
        <f>E30-травень!E30</f>
        <v>0</v>
      </c>
      <c r="N30" s="200">
        <f>F30-травень!F30</f>
        <v>-12.86</v>
      </c>
      <c r="O30" s="201">
        <f t="shared" si="4"/>
        <v>-12.86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70553.72</v>
      </c>
      <c r="G31" s="202">
        <f t="shared" si="0"/>
        <v>511.68000000000757</v>
      </c>
      <c r="H31" s="204">
        <f t="shared" si="1"/>
        <v>100.7305326915093</v>
      </c>
      <c r="I31" s="205">
        <f t="shared" si="2"/>
        <v>-38909.28</v>
      </c>
      <c r="J31" s="205">
        <f t="shared" si="3"/>
        <v>64.45440011693448</v>
      </c>
      <c r="K31" s="219">
        <f>F31-46052.97</f>
        <v>24500.75</v>
      </c>
      <c r="L31" s="219">
        <f>F31/46052.97*100</f>
        <v>153.20123761833383</v>
      </c>
      <c r="M31" s="197">
        <f>E31-травень!E31</f>
        <v>3939.9999999999854</v>
      </c>
      <c r="N31" s="200">
        <f>F31-травень!F31</f>
        <v>1787.020000000004</v>
      </c>
      <c r="O31" s="207">
        <f t="shared" si="4"/>
        <v>-2152.9799999999814</v>
      </c>
      <c r="P31" s="205">
        <f>N31/M31*100</f>
        <v>45.35583756345204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17875.07</v>
      </c>
      <c r="G33" s="109">
        <f t="shared" si="0"/>
        <v>179.09999999999854</v>
      </c>
      <c r="H33" s="111">
        <f t="shared" si="1"/>
        <v>101.01209484419333</v>
      </c>
      <c r="I33" s="110">
        <f t="shared" si="2"/>
        <v>-9724.93</v>
      </c>
      <c r="J33" s="110">
        <f t="shared" si="3"/>
        <v>64.76474637681159</v>
      </c>
      <c r="K33" s="142">
        <f>F33-11423.16</f>
        <v>6451.91</v>
      </c>
      <c r="L33" s="142">
        <f>F33/11423.16*100</f>
        <v>156.48095623277624</v>
      </c>
      <c r="M33" s="111">
        <f>E33-травень!E33</f>
        <v>940</v>
      </c>
      <c r="N33" s="179">
        <f>F33-травень!F33</f>
        <v>323.0099999999984</v>
      </c>
      <c r="O33" s="112">
        <f t="shared" si="4"/>
        <v>-616.9900000000016</v>
      </c>
      <c r="P33" s="110">
        <f>N33/M33*100</f>
        <v>34.36276595744664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52664.47</v>
      </c>
      <c r="G34" s="109">
        <f t="shared" si="0"/>
        <v>328.3899999999994</v>
      </c>
      <c r="H34" s="111">
        <f t="shared" si="1"/>
        <v>100.62746388342421</v>
      </c>
      <c r="I34" s="110">
        <f t="shared" si="2"/>
        <v>-29147.53</v>
      </c>
      <c r="J34" s="110">
        <f t="shared" si="3"/>
        <v>64.37254925927736</v>
      </c>
      <c r="K34" s="142">
        <f>F34-34622.85</f>
        <v>18041.620000000003</v>
      </c>
      <c r="L34" s="142">
        <f>F34/34622.85*100</f>
        <v>152.10899738178688</v>
      </c>
      <c r="M34" s="111">
        <f>E34-травень!E34</f>
        <v>3000</v>
      </c>
      <c r="N34" s="179">
        <f>F34-травень!F34</f>
        <v>1464.010000000002</v>
      </c>
      <c r="O34" s="112">
        <f t="shared" si="4"/>
        <v>-1535.989999999998</v>
      </c>
      <c r="P34" s="110">
        <f>N34/M34*100</f>
        <v>48.8003333333334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28278.54</v>
      </c>
      <c r="G37" s="191">
        <f>G38+G39+G40+G41+G42+G44+G46+G47+G48+G49+G50+G55+G56+G60</f>
        <v>6773.71</v>
      </c>
      <c r="H37" s="192">
        <f>F37/E37*100</f>
        <v>131.5401457714963</v>
      </c>
      <c r="I37" s="193">
        <f>F37-D37</f>
        <v>-14541.46</v>
      </c>
      <c r="J37" s="193">
        <f>F37/D37*100</f>
        <v>66.04049509574965</v>
      </c>
      <c r="K37" s="191">
        <f>F37-15873</f>
        <v>12405.54</v>
      </c>
      <c r="L37" s="191">
        <f>F37/15873*100</f>
        <v>178.15498015498017</v>
      </c>
      <c r="M37" s="191">
        <f>M38+M39+M40+M41+M42+M44+M46+M47+M48+M49+M50+M55+M56+M60</f>
        <v>3691.0000000000005</v>
      </c>
      <c r="N37" s="191">
        <f>N38+N39+N40+N41+N42+N44+N46+N47+N48+N49+N50+N55+N56+N60+N43</f>
        <v>5438.120000000001</v>
      </c>
      <c r="O37" s="191">
        <f>O38+O39+O40+O41+O42+O44+O46+O47+O48+O49+O50+O55+O56+O60</f>
        <v>1747.1200000000008</v>
      </c>
      <c r="P37" s="191">
        <f>N37/M37*100</f>
        <v>147.33459767000815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54.95</v>
      </c>
      <c r="G42" s="202">
        <f t="shared" si="9"/>
        <v>-5.049999999999997</v>
      </c>
      <c r="H42" s="204">
        <f t="shared" si="7"/>
        <v>91.58333333333334</v>
      </c>
      <c r="I42" s="205">
        <f t="shared" si="10"/>
        <v>-95.05</v>
      </c>
      <c r="J42" s="205">
        <f t="shared" si="12"/>
        <v>36.63333333333333</v>
      </c>
      <c r="K42" s="205">
        <f>F42-81.62</f>
        <v>-26.67</v>
      </c>
      <c r="L42" s="205">
        <f>F42/81.62*100</f>
        <v>67.32418524871355</v>
      </c>
      <c r="M42" s="204">
        <f>E42-травень!E42</f>
        <v>10</v>
      </c>
      <c r="N42" s="208">
        <f>F42-травень!F42</f>
        <v>4.550000000000004</v>
      </c>
      <c r="O42" s="207">
        <f t="shared" si="11"/>
        <v>-5.449999999999996</v>
      </c>
      <c r="P42" s="205">
        <f t="shared" si="8"/>
        <v>45.50000000000004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124.62</v>
      </c>
      <c r="G44" s="202">
        <f t="shared" si="9"/>
        <v>84.62</v>
      </c>
      <c r="H44" s="204">
        <f t="shared" si="7"/>
        <v>311.55</v>
      </c>
      <c r="I44" s="205">
        <f t="shared" si="10"/>
        <v>34.620000000000005</v>
      </c>
      <c r="J44" s="205">
        <f t="shared" si="12"/>
        <v>138.46666666666667</v>
      </c>
      <c r="K44" s="205">
        <f>F44-0</f>
        <v>124.62</v>
      </c>
      <c r="L44" s="205"/>
      <c r="M44" s="204">
        <f>E44-травень!E44</f>
        <v>8</v>
      </c>
      <c r="N44" s="208">
        <f>F44-травень!F44</f>
        <v>48.290000000000006</v>
      </c>
      <c r="O44" s="207">
        <f t="shared" si="11"/>
        <v>40.290000000000006</v>
      </c>
      <c r="P44" s="205">
        <f t="shared" si="8"/>
        <v>603.6250000000001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4491.22</v>
      </c>
      <c r="G46" s="202">
        <f t="shared" si="9"/>
        <v>-47.80000000000018</v>
      </c>
      <c r="H46" s="204">
        <f t="shared" si="7"/>
        <v>98.94690924472684</v>
      </c>
      <c r="I46" s="205">
        <f t="shared" si="10"/>
        <v>-5408.78</v>
      </c>
      <c r="J46" s="205">
        <f t="shared" si="12"/>
        <v>45.36585858585859</v>
      </c>
      <c r="K46" s="205">
        <f>F46-4927.6</f>
        <v>-436.3800000000001</v>
      </c>
      <c r="L46" s="205">
        <f>F46/4927.6*100</f>
        <v>91.14416754606705</v>
      </c>
      <c r="M46" s="204">
        <f>E46-травень!E46</f>
        <v>800.0000000000005</v>
      </c>
      <c r="N46" s="208">
        <f>F46-травень!F46</f>
        <v>433.8100000000004</v>
      </c>
      <c r="O46" s="207">
        <f t="shared" si="11"/>
        <v>-366.19000000000005</v>
      </c>
      <c r="P46" s="205">
        <f t="shared" si="8"/>
        <v>54.22625000000002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53.51</v>
      </c>
      <c r="G47" s="202">
        <f t="shared" si="9"/>
        <v>-596.49</v>
      </c>
      <c r="H47" s="204">
        <f t="shared" si="7"/>
        <v>8.23230769230769</v>
      </c>
      <c r="I47" s="205">
        <f t="shared" si="10"/>
        <v>-1446.49</v>
      </c>
      <c r="J47" s="205">
        <f t="shared" si="12"/>
        <v>3.5673333333333335</v>
      </c>
      <c r="K47" s="205">
        <f>F47-0</f>
        <v>53.51</v>
      </c>
      <c r="L47" s="205"/>
      <c r="M47" s="204">
        <f>E47-травень!E47</f>
        <v>130</v>
      </c>
      <c r="N47" s="208">
        <f>F47-травень!F47</f>
        <v>19.58</v>
      </c>
      <c r="O47" s="207">
        <f t="shared" si="11"/>
        <v>-110.42</v>
      </c>
      <c r="P47" s="205">
        <f t="shared" si="8"/>
        <v>15.06153846153846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2845.09</v>
      </c>
      <c r="G50" s="202">
        <f t="shared" si="9"/>
        <v>-374.0999999999999</v>
      </c>
      <c r="H50" s="204">
        <f t="shared" si="7"/>
        <v>88.37906429878323</v>
      </c>
      <c r="I50" s="205">
        <f t="shared" si="10"/>
        <v>-4454.91</v>
      </c>
      <c r="J50" s="205">
        <f t="shared" si="12"/>
        <v>38.97383561643836</v>
      </c>
      <c r="K50" s="205">
        <f>F50-4033.24</f>
        <v>-1188.1499999999996</v>
      </c>
      <c r="L50" s="205">
        <f>F50/4033.24*100</f>
        <v>70.54105384256827</v>
      </c>
      <c r="M50" s="204">
        <f>E50-травень!E50</f>
        <v>666</v>
      </c>
      <c r="N50" s="208">
        <f>F50-травень!F50</f>
        <v>271.6300000000001</v>
      </c>
      <c r="O50" s="207">
        <f t="shared" si="11"/>
        <v>-394.3699999999999</v>
      </c>
      <c r="P50" s="205">
        <f t="shared" si="8"/>
        <v>40.7852852852853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401.12</v>
      </c>
      <c r="G51" s="36">
        <f t="shared" si="9"/>
        <v>-150.87</v>
      </c>
      <c r="H51" s="32">
        <f t="shared" si="7"/>
        <v>72.66798311563615</v>
      </c>
      <c r="I51" s="110">
        <f t="shared" si="10"/>
        <v>-698.88</v>
      </c>
      <c r="J51" s="110">
        <f t="shared" si="12"/>
        <v>36.46545454545455</v>
      </c>
      <c r="K51" s="110">
        <f>F51-582.74</f>
        <v>-181.62</v>
      </c>
      <c r="L51" s="110">
        <f>F51/582.74*100</f>
        <v>68.833442015307</v>
      </c>
      <c r="M51" s="111">
        <f>E51-травень!E51</f>
        <v>185</v>
      </c>
      <c r="N51" s="179">
        <f>F51-травень!F51</f>
        <v>33.56999999999999</v>
      </c>
      <c r="O51" s="112">
        <f t="shared" si="11"/>
        <v>-151.43</v>
      </c>
      <c r="P51" s="132">
        <f t="shared" si="8"/>
        <v>18.145945945945943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2443.72</v>
      </c>
      <c r="G54" s="36">
        <f t="shared" si="9"/>
        <v>-218.45000000000027</v>
      </c>
      <c r="H54" s="32">
        <f t="shared" si="7"/>
        <v>91.79428811833954</v>
      </c>
      <c r="I54" s="110">
        <f t="shared" si="10"/>
        <v>-3710.28</v>
      </c>
      <c r="J54" s="110">
        <f t="shared" si="12"/>
        <v>39.70945726356841</v>
      </c>
      <c r="K54" s="110">
        <f>F54-3404.6</f>
        <v>-960.8800000000001</v>
      </c>
      <c r="L54" s="110">
        <f>F54/3404.6*100</f>
        <v>71.77700757798272</v>
      </c>
      <c r="M54" s="111">
        <f>E54-травень!E54</f>
        <v>480</v>
      </c>
      <c r="N54" s="179">
        <f>F54-травень!F54</f>
        <v>238.04999999999973</v>
      </c>
      <c r="O54" s="112">
        <f t="shared" si="11"/>
        <v>-241.95000000000027</v>
      </c>
      <c r="P54" s="132">
        <f t="shared" si="8"/>
        <v>49.59374999999994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2558.38</v>
      </c>
      <c r="G56" s="202">
        <f t="shared" si="9"/>
        <v>290.4000000000001</v>
      </c>
      <c r="H56" s="204">
        <f t="shared" si="7"/>
        <v>112.80434571733437</v>
      </c>
      <c r="I56" s="205">
        <f t="shared" si="10"/>
        <v>-2241.62</v>
      </c>
      <c r="J56" s="205">
        <f t="shared" si="12"/>
        <v>53.29958333333333</v>
      </c>
      <c r="K56" s="205">
        <f>F56-2236.15</f>
        <v>322.23</v>
      </c>
      <c r="L56" s="205">
        <f>F56/2236.15*100</f>
        <v>114.41003510497953</v>
      </c>
      <c r="M56" s="204">
        <f>E56-травень!E56</f>
        <v>400</v>
      </c>
      <c r="N56" s="208">
        <f>F56-травень!F56</f>
        <v>238.26999999999998</v>
      </c>
      <c r="O56" s="207">
        <f t="shared" si="11"/>
        <v>-161.73000000000002</v>
      </c>
      <c r="P56" s="205">
        <f t="shared" si="8"/>
        <v>59.567499999999995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573.1</v>
      </c>
      <c r="G58" s="202"/>
      <c r="H58" s="204"/>
      <c r="I58" s="205"/>
      <c r="J58" s="205"/>
      <c r="K58" s="206">
        <f>F58-577.4</f>
        <v>-4.2999999999999545</v>
      </c>
      <c r="L58" s="206">
        <f>F58/577.4*100</f>
        <v>99.25528229996537</v>
      </c>
      <c r="M58" s="236"/>
      <c r="N58" s="220">
        <f>F58-травень!F58</f>
        <v>94.73000000000002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424837.99</v>
      </c>
      <c r="G63" s="191">
        <f>F63-E63</f>
        <v>-16908.01999999996</v>
      </c>
      <c r="H63" s="192">
        <f>F63/E63*100</f>
        <v>96.17245665671096</v>
      </c>
      <c r="I63" s="193">
        <f>F63-D63</f>
        <v>-459062.61</v>
      </c>
      <c r="J63" s="193">
        <f>F63/D63*100</f>
        <v>48.06400063536556</v>
      </c>
      <c r="K63" s="193">
        <f>F63-320998.67</f>
        <v>103839.32</v>
      </c>
      <c r="L63" s="193">
        <f>F63/320998.67*100</f>
        <v>132.3488318503002</v>
      </c>
      <c r="M63" s="191">
        <f>M8+M37+M61+M62</f>
        <v>71492.59999999999</v>
      </c>
      <c r="N63" s="191">
        <f>N8+N37+N61+N62</f>
        <v>26988.700000000026</v>
      </c>
      <c r="O63" s="195">
        <f>N63-M63</f>
        <v>-44503.899999999965</v>
      </c>
      <c r="P63" s="193">
        <f>N63/M63*100</f>
        <v>37.75034059469096</v>
      </c>
      <c r="Q63" s="28">
        <f>N63-34768</f>
        <v>-7779.299999999974</v>
      </c>
      <c r="R63" s="128">
        <f>N63/34768</f>
        <v>0.7762511504832037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1041.99</v>
      </c>
      <c r="G72" s="202">
        <f aca="true" t="shared" si="13" ref="G72:G82">F72-E72</f>
        <v>-371.01</v>
      </c>
      <c r="H72" s="204"/>
      <c r="I72" s="207">
        <f aca="true" t="shared" si="14" ref="I72:I82">F72-D72</f>
        <v>-3158.01</v>
      </c>
      <c r="J72" s="207">
        <f>F72/D72*100</f>
        <v>24.809285714285714</v>
      </c>
      <c r="K72" s="207">
        <f>F72-194</f>
        <v>847.99</v>
      </c>
      <c r="L72" s="207">
        <f>F72/194*100</f>
        <v>537.1082474226804</v>
      </c>
      <c r="M72" s="204">
        <f>E72-травень!E72</f>
        <v>500</v>
      </c>
      <c r="N72" s="208">
        <f>F72-травень!F72</f>
        <v>0.01999999999998181</v>
      </c>
      <c r="O72" s="207">
        <f aca="true" t="shared" si="15" ref="O72:O85">N72-M72</f>
        <v>-499.98</v>
      </c>
      <c r="P72" s="207">
        <f>N72/M72*100</f>
        <v>0.003999999999996362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9113.39</v>
      </c>
      <c r="G74" s="202">
        <f t="shared" si="13"/>
        <v>7320.539999999999</v>
      </c>
      <c r="H74" s="204">
        <f>F74/E74*100</f>
        <v>508.31859887888</v>
      </c>
      <c r="I74" s="207">
        <f t="shared" si="14"/>
        <v>3113.3899999999994</v>
      </c>
      <c r="J74" s="207">
        <f>F74/D74*100</f>
        <v>151.8898333333333</v>
      </c>
      <c r="K74" s="207">
        <f>F74-1818.42</f>
        <v>7294.969999999999</v>
      </c>
      <c r="L74" s="207">
        <f>F74/1818.42*100</f>
        <v>501.170796625642</v>
      </c>
      <c r="M74" s="204">
        <f>E74-травень!E74</f>
        <v>302</v>
      </c>
      <c r="N74" s="208">
        <f>F74-травень!F74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11046.039999999999</v>
      </c>
      <c r="G76" s="226">
        <f t="shared" si="13"/>
        <v>5600.48</v>
      </c>
      <c r="H76" s="227">
        <f>F76/E76*100</f>
        <v>202.84488647632202</v>
      </c>
      <c r="I76" s="228">
        <f t="shared" si="14"/>
        <v>-6624.960000000001</v>
      </c>
      <c r="J76" s="228">
        <f>F76/D76*100</f>
        <v>62.509422217192004</v>
      </c>
      <c r="K76" s="228">
        <f>F76-5269.49</f>
        <v>5776.549999999999</v>
      </c>
      <c r="L76" s="228">
        <f>F76/5269.49*100</f>
        <v>209.62256309434116</v>
      </c>
      <c r="M76" s="226">
        <f>M72+M73+M74+M75</f>
        <v>1085.6000000000001</v>
      </c>
      <c r="N76" s="230">
        <f>N72+N73+N74+N75</f>
        <v>16.449999999999932</v>
      </c>
      <c r="O76" s="228">
        <f t="shared" si="15"/>
        <v>-1069.15</v>
      </c>
      <c r="P76" s="228">
        <f>N76/M76*100</f>
        <v>1.5152910832719169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4888.84</v>
      </c>
      <c r="G79" s="202">
        <f t="shared" si="13"/>
        <v>-228.46000000000004</v>
      </c>
      <c r="H79" s="204">
        <f>F79/E79*100</f>
        <v>95.53553631798019</v>
      </c>
      <c r="I79" s="207">
        <f t="shared" si="14"/>
        <v>-4611.16</v>
      </c>
      <c r="J79" s="207">
        <f>F79/D79*100</f>
        <v>51.461473684210524</v>
      </c>
      <c r="K79" s="207">
        <f>F79-0</f>
        <v>4888.84</v>
      </c>
      <c r="L79" s="207"/>
      <c r="M79" s="204">
        <f>E79-травень!E79</f>
        <v>0.3000000000001819</v>
      </c>
      <c r="N79" s="208">
        <f>F79-травень!F79</f>
        <v>1.069999999999709</v>
      </c>
      <c r="O79" s="207">
        <f>N79-M79</f>
        <v>0.7699999999995271</v>
      </c>
      <c r="P79" s="231">
        <f>N79/M79*100</f>
        <v>356.66666666635336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4893.93</v>
      </c>
      <c r="G81" s="224">
        <f>G77+G80+G78+G79</f>
        <v>-223.37000000000003</v>
      </c>
      <c r="H81" s="227">
        <f>F81/E81*100</f>
        <v>95.63500283352549</v>
      </c>
      <c r="I81" s="228">
        <f t="shared" si="14"/>
        <v>-4607.07</v>
      </c>
      <c r="J81" s="228">
        <f>F81/D81*100</f>
        <v>51.509630565203665</v>
      </c>
      <c r="K81" s="228">
        <f>F81-1.06</f>
        <v>4892.87</v>
      </c>
      <c r="L81" s="228">
        <f>F81/1.06*100</f>
        <v>461691.50943396223</v>
      </c>
      <c r="M81" s="226">
        <f>M77+M80+M78+M79</f>
        <v>0.3000000000001819</v>
      </c>
      <c r="N81" s="230">
        <f>N77+N80+N78+N79</f>
        <v>1.069999999999709</v>
      </c>
      <c r="O81" s="226">
        <f>O77+O80+O78+O79</f>
        <v>0.7699999999995271</v>
      </c>
      <c r="P81" s="228">
        <f>N81/M81*100</f>
        <v>356.66666666635336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10.3</v>
      </c>
      <c r="G82" s="202">
        <f t="shared" si="13"/>
        <v>-9.399999999999999</v>
      </c>
      <c r="H82" s="204">
        <f>F82/E82*100</f>
        <v>52.28426395939086</v>
      </c>
      <c r="I82" s="207">
        <f t="shared" si="14"/>
        <v>-32.7</v>
      </c>
      <c r="J82" s="207">
        <f>F82/D82*100</f>
        <v>23.953488372093023</v>
      </c>
      <c r="K82" s="207">
        <f>F82-19.94</f>
        <v>-9.64</v>
      </c>
      <c r="L82" s="207">
        <f>F82/19.94*100</f>
        <v>51.65496489468405</v>
      </c>
      <c r="M82" s="204">
        <f>E82-травень!E82</f>
        <v>5.899999999999999</v>
      </c>
      <c r="N82" s="208">
        <f>F82-травень!F82</f>
        <v>1.1100000000000012</v>
      </c>
      <c r="O82" s="207">
        <f t="shared" si="15"/>
        <v>-4.789999999999997</v>
      </c>
      <c r="P82" s="207">
        <f>N82/M82</f>
        <v>0.18813559322033924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15950.01</v>
      </c>
      <c r="G84" s="233">
        <f>F84-E84</f>
        <v>5367.450000000001</v>
      </c>
      <c r="H84" s="234">
        <f>F84/E84*100</f>
        <v>150.7197691295868</v>
      </c>
      <c r="I84" s="235">
        <f>F84-D84</f>
        <v>-11264.99</v>
      </c>
      <c r="J84" s="235">
        <f>F84/D84*100</f>
        <v>58.607422377365424</v>
      </c>
      <c r="K84" s="235">
        <f>F84-5259.67</f>
        <v>10690.34</v>
      </c>
      <c r="L84" s="235">
        <f>F84/5259.67*100</f>
        <v>303.25115454011376</v>
      </c>
      <c r="M84" s="232">
        <f>M70+M82+M76+M81</f>
        <v>1091.8000000000004</v>
      </c>
      <c r="N84" s="232">
        <f>N70+N82+N76+N81+N83</f>
        <v>18.62999999999964</v>
      </c>
      <c r="O84" s="235">
        <f t="shared" si="15"/>
        <v>-1073.1700000000008</v>
      </c>
      <c r="P84" s="235">
        <f>N84/M84*100</f>
        <v>1.706356475544938</v>
      </c>
      <c r="Q84" s="28">
        <f>N84-8104.96</f>
        <v>-8086.330000000001</v>
      </c>
      <c r="R84" s="101">
        <f>N84/8104.96</f>
        <v>0.0022985924668350788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440788</v>
      </c>
      <c r="G85" s="233">
        <f>F85-E85</f>
        <v>-11540.569999999949</v>
      </c>
      <c r="H85" s="234">
        <f>F85/E85*100</f>
        <v>97.44863120187169</v>
      </c>
      <c r="I85" s="235">
        <f>F85-D85</f>
        <v>-470327.6</v>
      </c>
      <c r="J85" s="235">
        <f>F85/D85*100</f>
        <v>48.37893237696731</v>
      </c>
      <c r="K85" s="235">
        <f>F85-320998.67-5259.67</f>
        <v>114529.66000000002</v>
      </c>
      <c r="L85" s="235">
        <f>F85/(265734.15+4325.48)*100</f>
        <v>163.21876764772284</v>
      </c>
      <c r="M85" s="233">
        <f>M63+M84</f>
        <v>72584.4</v>
      </c>
      <c r="N85" s="233">
        <f>N63+N84</f>
        <v>27007.330000000027</v>
      </c>
      <c r="O85" s="235">
        <f t="shared" si="15"/>
        <v>-45577.06999999996</v>
      </c>
      <c r="P85" s="235">
        <f>N85/M85*100</f>
        <v>37.208174208232116</v>
      </c>
      <c r="Q85" s="28">
        <f>N85-42872.96</f>
        <v>-15865.629999999972</v>
      </c>
      <c r="R85" s="101">
        <f>N85/42872.96</f>
        <v>0.6299385440146896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9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4944.877777777774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42535</v>
      </c>
      <c r="D89" s="31">
        <v>2092.96</v>
      </c>
      <c r="G89" s="4" t="s">
        <v>59</v>
      </c>
      <c r="N89" s="256"/>
      <c r="O89" s="256"/>
    </row>
    <row r="90" spans="3:15" ht="15">
      <c r="C90" s="87">
        <v>42534</v>
      </c>
      <c r="D90" s="31">
        <v>1769.8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42531</v>
      </c>
      <c r="D91" s="31">
        <v>1928.4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211.41744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186.67</v>
      </c>
      <c r="G96" s="73">
        <f>G44+G47+G48</f>
        <v>-523.33</v>
      </c>
      <c r="H96" s="74"/>
      <c r="I96" s="74"/>
      <c r="M96" s="31">
        <f>M44+M47+M48</f>
        <v>142</v>
      </c>
      <c r="N96" s="246">
        <f>N44+N47+N48</f>
        <v>68.69</v>
      </c>
      <c r="O96" s="31">
        <f>O44+O47+O48</f>
        <v>-73.31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6" sqref="B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2016-06-15T08:10:39Z</cp:lastPrinted>
  <dcterms:created xsi:type="dcterms:W3CDTF">2003-07-28T11:27:56Z</dcterms:created>
  <dcterms:modified xsi:type="dcterms:W3CDTF">2016-06-15T08:19:16Z</dcterms:modified>
  <cp:category/>
  <cp:version/>
  <cp:contentType/>
  <cp:contentStatus/>
</cp:coreProperties>
</file>